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<sst xmlns="http://schemas.openxmlformats.org/spreadsheetml/2006/main" count="159" uniqueCount="113">
  <si>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</si>
  <si>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</si>
  <si>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</si>
  <si>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</si>
  <si>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</si>
  <si>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</si>
  <si>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</si>
  <si>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</si>
  <si>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</si>
  <si>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</si>
  <si>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</si>
  <si>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</si>
  <si>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</si>
  <si>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</si>
  <si>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</si>
  <si>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</si>
  <si>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</si>
  <si>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</si>
  <si>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</si>
  <si>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</si>
  <si>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</si>
  <si>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</si>
  <si>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</si>
  <si>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</si>
  <si>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</si>
  <si>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</si>
  <si>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</si>
  <si>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</si>
  <si>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</si>
  <si>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</si>
  <si>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</si>
  <si>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</si>
  <si>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</si>
  <si>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</si>
  <si>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</si>
  <si>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</si>
  <si>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</si>
  <si>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</si>
  <si>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</si>
  <si>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</si>
  <si>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</si>
  <si>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</si>
  <si>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</si>
  <si>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</si>
  <si>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</si>
  <si>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</si>
  <si>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</si>
  <si>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</si>
  <si>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</si>
  <si>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</si>
  <si>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</si>
  <si>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</si>
  <si>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</si>
  <si>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</si>
  <si>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</si>
  <si>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</si>
  <si>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</si>
  <si>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</si>
  <si>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</si>
  <si>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</si>
  <si>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</si>
  <si>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</si>
  <si>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</si>
  <si>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</si>
  <si>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</si>
  <si>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</si>
  <si>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</si>
  <si>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</si>
  <si>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</si>
  <si>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</si>
  <si>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</si>
  <si>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</si>
  <si>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</si>
  <si>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</si>
  <si>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</si>
  <si>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</si>
  <si>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</si>
  <si>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</si>
  <si>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</si>
  <si>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</si>
  <si>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</si>
  <si>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</si>
  <si>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</si>
  <si>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</si>
  <si>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</si>
  <si>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</si>
  <si>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</si>
  <si>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</si>
  <si>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</si>
  <si>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</si>
  <si>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</si>
  <si>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</si>
  <si>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</si>
  <si>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</si>
  <si>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</si>
  <si>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</si>
  <si>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</si>
  <si>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</si>
  <si>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</si>
  <si>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</si>
  <si>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</si>
  <si>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</si>
  <si>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</si>
  <si>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</si>
  <si>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</si>
  <si>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</si>
  <si>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</si>
  <si>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</si>
  <si>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</si>
  <si>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</si>
  <si>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</si>
  <si>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</si>
  <si>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2014 рік станом на 24.09.2014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</si>
</sst>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29313.80000000001</c:v>
                </c:pt>
                <c:pt idx="1">
                  <c:v>25149.800000000003</c:v>
                </c:pt>
                <c:pt idx="2">
                  <c:v>1098.4</c:v>
                </c:pt>
                <c:pt idx="3">
                  <c:v>3065.600000000007</c:v>
                </c:pt>
              </c:numCache>
            </c:numRef>
          </c:val>
          <c:shape val="box"/>
        </c:ser>
        <c:shape val="box"/>
        <c:axId val="35369601"/>
        <c:axId val="49890954"/>
      </c:bar3D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890954"/>
        <c:crosses val="autoZero"/>
        <c:auto val="1"/>
        <c:lblOffset val="100"/>
        <c:tickLblSkip val="1"/>
        <c:noMultiLvlLbl val="0"/>
      </c:catAx>
      <c:valAx>
        <c:axId val="49890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696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274405.7</c:v>
                </c:pt>
                <c:pt idx="1">
                  <c:v>215280.1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187653.51000000004</c:v>
                </c:pt>
                <c:pt idx="1">
                  <c:v>154939.89999999994</c:v>
                </c:pt>
                <c:pt idx="2">
                  <c:v>11.8</c:v>
                </c:pt>
                <c:pt idx="3">
                  <c:v>10235.700000000003</c:v>
                </c:pt>
                <c:pt idx="4">
                  <c:v>21244.7</c:v>
                </c:pt>
                <c:pt idx="5">
                  <c:v>186.8</c:v>
                </c:pt>
                <c:pt idx="6">
                  <c:v>1034.6100000001018</c:v>
                </c:pt>
              </c:numCache>
            </c:numRef>
          </c:val>
          <c:shape val="box"/>
        </c:ser>
        <c:shape val="box"/>
        <c:axId val="46365403"/>
        <c:axId val="14635444"/>
      </c:bar3DChart>
      <c:catAx>
        <c:axId val="4636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35444"/>
        <c:crosses val="autoZero"/>
        <c:auto val="1"/>
        <c:lblOffset val="100"/>
        <c:tickLblSkip val="1"/>
        <c:noMultiLvlLbl val="0"/>
      </c:catAx>
      <c:valAx>
        <c:axId val="14635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54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1384.5</c:v>
                </c:pt>
                <c:pt idx="6">
                  <c:v>12970.900000000016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129603.30000000002</c:v>
                </c:pt>
                <c:pt idx="1">
                  <c:v>105100.09999999999</c:v>
                </c:pt>
                <c:pt idx="2">
                  <c:v>2823.5</c:v>
                </c:pt>
                <c:pt idx="3">
                  <c:v>1880.8999999999999</c:v>
                </c:pt>
                <c:pt idx="4">
                  <c:v>10475.199999999997</c:v>
                </c:pt>
                <c:pt idx="5">
                  <c:v>941.8000000000001</c:v>
                </c:pt>
                <c:pt idx="6">
                  <c:v>8381.800000000028</c:v>
                </c:pt>
              </c:numCache>
            </c:numRef>
          </c:val>
          <c:shape val="box"/>
        </c:ser>
        <c:shape val="box"/>
        <c:axId val="64610133"/>
        <c:axId val="44620286"/>
      </c:bar3DChart>
      <c:catAx>
        <c:axId val="64610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20286"/>
        <c:crosses val="autoZero"/>
        <c:auto val="1"/>
        <c:lblOffset val="100"/>
        <c:tickLblSkip val="1"/>
        <c:noMultiLvlLbl val="0"/>
      </c:catAx>
      <c:valAx>
        <c:axId val="44620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01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37478.3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6789.600000000003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24818.599999999995</c:v>
                </c:pt>
                <c:pt idx="1">
                  <c:v>18862.2</c:v>
                </c:pt>
                <c:pt idx="2">
                  <c:v>705.1999999999998</c:v>
                </c:pt>
                <c:pt idx="3">
                  <c:v>297.09999999999997</c:v>
                </c:pt>
                <c:pt idx="4">
                  <c:v>18</c:v>
                </c:pt>
                <c:pt idx="5">
                  <c:v>4936.099999999994</c:v>
                </c:pt>
              </c:numCache>
            </c:numRef>
          </c:val>
          <c:shape val="box"/>
        </c:ser>
        <c:shape val="box"/>
        <c:axId val="66038255"/>
        <c:axId val="57473384"/>
      </c:bar3DChart>
      <c:catAx>
        <c:axId val="6603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73384"/>
        <c:crosses val="autoZero"/>
        <c:auto val="1"/>
        <c:lblOffset val="100"/>
        <c:tickLblSkip val="1"/>
        <c:noMultiLvlLbl val="0"/>
      </c:catAx>
      <c:valAx>
        <c:axId val="57473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382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7688.699999999999</c:v>
                </c:pt>
                <c:pt idx="1">
                  <c:v>5006.099999999999</c:v>
                </c:pt>
                <c:pt idx="3">
                  <c:v>108.70000000000002</c:v>
                </c:pt>
                <c:pt idx="4">
                  <c:v>235.89999999999992</c:v>
                </c:pt>
                <c:pt idx="5">
                  <c:v>2337.9999999999995</c:v>
                </c:pt>
              </c:numCache>
            </c:numRef>
          </c:val>
          <c:shape val="box"/>
        </c:ser>
        <c:shape val="box"/>
        <c:axId val="47498409"/>
        <c:axId val="24832498"/>
      </c:bar3DChart>
      <c:catAx>
        <c:axId val="4749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32498"/>
        <c:crosses val="autoZero"/>
        <c:auto val="1"/>
        <c:lblOffset val="100"/>
        <c:tickLblSkip val="2"/>
        <c:noMultiLvlLbl val="0"/>
      </c:catAx>
      <c:valAx>
        <c:axId val="24832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984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1709.9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2445.8000000000006</c:v>
                </c:pt>
                <c:pt idx="1">
                  <c:v>1319.5000000000002</c:v>
                </c:pt>
                <c:pt idx="2">
                  <c:v>181.4</c:v>
                </c:pt>
                <c:pt idx="3">
                  <c:v>127.4</c:v>
                </c:pt>
                <c:pt idx="4">
                  <c:v>728.3000000000001</c:v>
                </c:pt>
                <c:pt idx="5">
                  <c:v>89.20000000000036</c:v>
                </c:pt>
              </c:numCache>
            </c:numRef>
          </c:val>
          <c:shape val="box"/>
        </c:ser>
        <c:shape val="box"/>
        <c:axId val="22165891"/>
        <c:axId val="65275292"/>
      </c:bar3DChart>
      <c:catAx>
        <c:axId val="2216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75292"/>
        <c:crosses val="autoZero"/>
        <c:auto val="1"/>
        <c:lblOffset val="100"/>
        <c:tickLblSkip val="1"/>
        <c:noMultiLvlLbl val="0"/>
      </c:catAx>
      <c:valAx>
        <c:axId val="65275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658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22520.800000000003</c:v>
                </c:pt>
              </c:numCache>
            </c:numRef>
          </c:val>
          <c:shape val="box"/>
        </c:ser>
        <c:shape val="box"/>
        <c:axId val="50606717"/>
        <c:axId val="52807270"/>
      </c:bar3DChart>
      <c:catAx>
        <c:axId val="5060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807270"/>
        <c:crosses val="autoZero"/>
        <c:auto val="1"/>
        <c:lblOffset val="100"/>
        <c:tickLblSkip val="1"/>
        <c:noMultiLvlLbl val="0"/>
      </c:catAx>
      <c:valAx>
        <c:axId val="52807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067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274405.7</c:v>
                </c:pt>
                <c:pt idx="1">
                  <c:v>177767.7</c:v>
                </c:pt>
                <c:pt idx="2">
                  <c:v>37478.3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187653.51000000004</c:v>
                </c:pt>
                <c:pt idx="1">
                  <c:v>129603.30000000002</c:v>
                </c:pt>
                <c:pt idx="2">
                  <c:v>24818.599999999995</c:v>
                </c:pt>
                <c:pt idx="3">
                  <c:v>7688.699999999999</c:v>
                </c:pt>
                <c:pt idx="4">
                  <c:v>2445.8000000000006</c:v>
                </c:pt>
                <c:pt idx="5">
                  <c:v>29313.80000000001</c:v>
                </c:pt>
                <c:pt idx="6">
                  <c:v>22520.800000000003</c:v>
                </c:pt>
              </c:numCache>
            </c:numRef>
          </c:val>
          <c:shape val="box"/>
        </c:ser>
        <c:shape val="box"/>
        <c:axId val="5503383"/>
        <c:axId val="49530448"/>
      </c:bar3DChart>
      <c:catAx>
        <c:axId val="5503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30448"/>
        <c:crosses val="autoZero"/>
        <c:auto val="1"/>
        <c:lblOffset val="100"/>
        <c:tickLblSkip val="1"/>
        <c:noMultiLvlLbl val="0"/>
      </c:catAx>
      <c:valAx>
        <c:axId val="49530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3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430367.6</c:v>
                </c:pt>
                <c:pt idx="1">
                  <c:v>64580.7</c:v>
                </c:pt>
                <c:pt idx="2">
                  <c:v>20516.600000000002</c:v>
                </c:pt>
                <c:pt idx="3">
                  <c:v>8099.5</c:v>
                </c:pt>
                <c:pt idx="4">
                  <c:v>7943.900000000001</c:v>
                </c:pt>
                <c:pt idx="5">
                  <c:v>92651.4000000001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314467.8999999999</c:v>
                </c:pt>
                <c:pt idx="1">
                  <c:v>34403.30000000001</c:v>
                </c:pt>
                <c:pt idx="2">
                  <c:v>12442.400000000003</c:v>
                </c:pt>
                <c:pt idx="3">
                  <c:v>5566.1</c:v>
                </c:pt>
                <c:pt idx="4">
                  <c:v>2836.1000000000004</c:v>
                </c:pt>
                <c:pt idx="5">
                  <c:v>52196.81000000018</c:v>
                </c:pt>
              </c:numCache>
            </c:numRef>
          </c:val>
          <c:shape val="box"/>
        </c:ser>
        <c:shape val="box"/>
        <c:axId val="43120849"/>
        <c:axId val="52543322"/>
      </c:bar3DChart>
      <c:catAx>
        <c:axId val="43120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43322"/>
        <c:crosses val="autoZero"/>
        <c:auto val="1"/>
        <c:lblOffset val="100"/>
        <c:tickLblSkip val="1"/>
        <c:noMultiLvlLbl val="0"/>
      </c:catAx>
      <c:valAx>
        <c:axId val="52543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08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210661</v>
      </c>
      <c r="C6" s="53">
        <f>279531.5-5173.3+47.5</f>
        <v>274405.7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</f>
        <v>197467.31000000006</v>
      </c>
      <c r="E6" s="3">
        <f>D6/D137*100</f>
        <v>44.28818903560936</v>
      </c>
      <c r="F6" s="3">
        <f>D6/B6*100</f>
        <v>93.73700400168995</v>
      </c>
      <c r="G6" s="3">
        <f aca="true" t="shared" si="0" ref="G6:G41">D6/C6*100</f>
        <v>71.96181056005763</v>
      </c>
      <c r="H6" s="3">
        <f>B6-D6</f>
        <v>13193.689999999944</v>
      </c>
      <c r="I6" s="3">
        <f aca="true" t="shared" si="1" ref="I6:I41">C6-D6</f>
        <v>76938.38999999996</v>
      </c>
    </row>
    <row r="7" spans="1:9" ht="18">
      <c r="A7" s="29" t="s">
        <v>3</v>
      </c>
      <c r="B7" s="49">
        <v>173962.2</v>
      </c>
      <c r="C7" s="50">
        <f>220378.6-5173.3+74.8</f>
        <v>215280.1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</f>
        <v>162856.19999999992</v>
      </c>
      <c r="E7" s="1">
        <f>D7/D6*100</f>
        <v>82.4724862054382</v>
      </c>
      <c r="F7" s="1">
        <f>D7/B7*100</f>
        <v>93.61585447873153</v>
      </c>
      <c r="G7" s="1">
        <f t="shared" si="0"/>
        <v>75.64851558504475</v>
      </c>
      <c r="H7" s="1">
        <f>B7-D7</f>
        <v>11106.000000000087</v>
      </c>
      <c r="I7" s="1">
        <f t="shared" si="1"/>
        <v>52423.90000000008</v>
      </c>
    </row>
    <row r="8" spans="1:9" ht="18">
      <c r="A8" s="29" t="s">
        <v>2</v>
      </c>
      <c r="B8" s="49">
        <v>39.6</v>
      </c>
      <c r="C8" s="50">
        <v>44.6</v>
      </c>
      <c r="D8" s="51">
        <f>0.1+0.1+0.3+0.3+2.7+0.7+1.1+1.4+0.5+0.7+1.7+0.4+0.5+1+0.2+0.1+2.9+0.1+0.2+1+0.8</f>
        <v>16.8</v>
      </c>
      <c r="E8" s="12">
        <f>D8/D6*100</f>
        <v>0.008507737305987506</v>
      </c>
      <c r="F8" s="1">
        <f>D8/B8*100</f>
        <v>42.42424242424242</v>
      </c>
      <c r="G8" s="1">
        <f t="shared" si="0"/>
        <v>37.66816143497758</v>
      </c>
      <c r="H8" s="1">
        <f aca="true" t="shared" si="2" ref="H8:H41">B8-D8</f>
        <v>22.8</v>
      </c>
      <c r="I8" s="1">
        <f t="shared" si="1"/>
        <v>27.8</v>
      </c>
    </row>
    <row r="9" spans="1:9" ht="18">
      <c r="A9" s="29" t="s">
        <v>1</v>
      </c>
      <c r="B9" s="49">
        <v>12083.2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</f>
        <v>11256.7</v>
      </c>
      <c r="E9" s="1">
        <f>D9/D6*100</f>
        <v>5.700538484066045</v>
      </c>
      <c r="F9" s="1">
        <f aca="true" t="shared" si="3" ref="F9:F39">D9/B9*100</f>
        <v>93.15992452330508</v>
      </c>
      <c r="G9" s="1">
        <f t="shared" si="0"/>
        <v>65.81441442494899</v>
      </c>
      <c r="H9" s="1">
        <f t="shared" si="2"/>
        <v>826.5</v>
      </c>
      <c r="I9" s="1">
        <f t="shared" si="1"/>
        <v>5847</v>
      </c>
    </row>
    <row r="10" spans="1:9" ht="18">
      <c r="A10" s="29" t="s">
        <v>0</v>
      </c>
      <c r="B10" s="49">
        <v>22458.4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</f>
        <v>21917.899999999998</v>
      </c>
      <c r="E10" s="1">
        <f>D10/D6*100</f>
        <v>11.099508065410923</v>
      </c>
      <c r="F10" s="1">
        <f t="shared" si="3"/>
        <v>97.59332810885904</v>
      </c>
      <c r="G10" s="1">
        <f t="shared" si="0"/>
        <v>55.56502009101164</v>
      </c>
      <c r="H10" s="1">
        <f t="shared" si="2"/>
        <v>540.5000000000036</v>
      </c>
      <c r="I10" s="1">
        <f t="shared" si="1"/>
        <v>17527.600000000002</v>
      </c>
    </row>
    <row r="11" spans="1:9" ht="18">
      <c r="A11" s="29" t="s">
        <v>15</v>
      </c>
      <c r="B11" s="49">
        <v>217.3</v>
      </c>
      <c r="C11" s="50">
        <f>281.8-31.7</f>
        <v>250.10000000000002</v>
      </c>
      <c r="D11" s="51">
        <f>4+4+12.7+4+4+14.5+4+115.8+4+14.4+5.4</f>
        <v>186.8</v>
      </c>
      <c r="E11" s="1">
        <f>D11/D6*100</f>
        <v>0.09459793623562297</v>
      </c>
      <c r="F11" s="1">
        <f t="shared" si="3"/>
        <v>85.96410492406811</v>
      </c>
      <c r="G11" s="1">
        <f t="shared" si="0"/>
        <v>74.69012395041983</v>
      </c>
      <c r="H11" s="1">
        <f t="shared" si="2"/>
        <v>30.5</v>
      </c>
      <c r="I11" s="1">
        <f t="shared" si="1"/>
        <v>63.30000000000001</v>
      </c>
    </row>
    <row r="12" spans="1:9" ht="18.75" thickBot="1">
      <c r="A12" s="29" t="s">
        <v>35</v>
      </c>
      <c r="B12" s="50">
        <f>B6-B7-B8-B9-B10-B11</f>
        <v>1900.2999999999877</v>
      </c>
      <c r="C12" s="50">
        <f>C6-C7-C8-C9-C10-C11</f>
        <v>2281.700000000003</v>
      </c>
      <c r="D12" s="50">
        <f>D6-D7-D8-D9-D10-D11</f>
        <v>1232.9100000001301</v>
      </c>
      <c r="E12" s="1">
        <f>D12/D6*100</f>
        <v>0.6243615715432239</v>
      </c>
      <c r="F12" s="1">
        <f t="shared" si="3"/>
        <v>64.87975582803442</v>
      </c>
      <c r="G12" s="1">
        <f t="shared" si="0"/>
        <v>54.034710961131104</v>
      </c>
      <c r="H12" s="1">
        <f t="shared" si="2"/>
        <v>667.3899999998575</v>
      </c>
      <c r="I12" s="1">
        <f t="shared" si="1"/>
        <v>1048.7899999998729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152884.1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</f>
        <v>137438.50000000003</v>
      </c>
      <c r="E17" s="3">
        <f>D17/D137*100</f>
        <v>30.82486042257119</v>
      </c>
      <c r="F17" s="3">
        <f>D17/B17*100</f>
        <v>89.89718355276973</v>
      </c>
      <c r="G17" s="3">
        <f t="shared" si="0"/>
        <v>77.31353896123989</v>
      </c>
      <c r="H17" s="3">
        <f>B17-D17</f>
        <v>15445.599999999977</v>
      </c>
      <c r="I17" s="3">
        <f t="shared" si="1"/>
        <v>40329.19999999998</v>
      </c>
    </row>
    <row r="18" spans="1:9" ht="18">
      <c r="A18" s="29" t="s">
        <v>5</v>
      </c>
      <c r="B18" s="49">
        <v>120605.7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5127.2+6545.1+310.1+0.1+5190.4+6767.1+5380.4+556.1+6698.2+26.3+5454.2+14.7+1807.4+5633.7-0.1+5479.7+8333.7+0.1+5594.2+20.5+8919.7-0.1+6648.6+409.3+7265+6051.8+1663.6+3936.9-0.1+1069.7+155.1+0.3+41.2+5904.4</f>
        <v>111004.49999999999</v>
      </c>
      <c r="E18" s="1">
        <f>D18/D17*100</f>
        <v>80.76667018339108</v>
      </c>
      <c r="F18" s="1">
        <f t="shared" si="3"/>
        <v>92.03918222770564</v>
      </c>
      <c r="G18" s="1">
        <f t="shared" si="0"/>
        <v>83.20958595539096</v>
      </c>
      <c r="H18" s="1">
        <f t="shared" si="2"/>
        <v>9601.200000000012</v>
      </c>
      <c r="I18" s="1">
        <f t="shared" si="1"/>
        <v>22399.000000000015</v>
      </c>
    </row>
    <row r="19" spans="1:9" ht="18">
      <c r="A19" s="29" t="s">
        <v>2</v>
      </c>
      <c r="B19" s="49">
        <v>5825.9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15+99.7+173.8+0.6+107.5+22.1+0.5+193.8+202.2+7.6+0.9+0.4+198.3+0.9+0.9+95.5+0.1+279.3+38.4+83.3+46.9+46.6+4.1+6.6+39.1+95.6+92.1+24.2+50.1-0.1+50+365.7+1.1+48.1+10.4+9.3-0.1+354.3+8.9+29.5+20+0.3+26+291.1+39.2+2+2.7+296.1</f>
        <v>3480.5999999999995</v>
      </c>
      <c r="E19" s="1">
        <f>D19/D17*100</f>
        <v>2.5324781629601594</v>
      </c>
      <c r="F19" s="1">
        <f t="shared" si="3"/>
        <v>59.74355893510015</v>
      </c>
      <c r="G19" s="1">
        <f t="shared" si="0"/>
        <v>44.51692118793645</v>
      </c>
      <c r="H19" s="1">
        <f t="shared" si="2"/>
        <v>2345.3</v>
      </c>
      <c r="I19" s="1">
        <f t="shared" si="1"/>
        <v>4338.000000000001</v>
      </c>
    </row>
    <row r="20" spans="1:9" ht="18">
      <c r="A20" s="29" t="s">
        <v>1</v>
      </c>
      <c r="B20" s="49">
        <f>2404.9-17.3</f>
        <v>2387.6</v>
      </c>
      <c r="C20" s="50">
        <v>2836.6</v>
      </c>
      <c r="D20" s="51">
        <f>50.7+162.6+43.4+2.3+47.2+1.8+59.1-0.1+62.8+64.5+13.9+16.6+5.7+70.4+205+17+53.6+0.4+52.9+123.3+33.6+13.4+33.2+48.5+167.7+45.5+44.4+10.1+293.6+15.3+0.1+122.4+32+45.4+109.8</f>
        <v>2068.1</v>
      </c>
      <c r="E20" s="1">
        <f>D20/D17*100</f>
        <v>1.5047457590122124</v>
      </c>
      <c r="F20" s="1">
        <f t="shared" si="3"/>
        <v>86.61836153459541</v>
      </c>
      <c r="G20" s="1">
        <f t="shared" si="0"/>
        <v>72.9077064090813</v>
      </c>
      <c r="H20" s="1">
        <f t="shared" si="2"/>
        <v>319.5</v>
      </c>
      <c r="I20" s="1">
        <f t="shared" si="1"/>
        <v>768.5</v>
      </c>
    </row>
    <row r="21" spans="1:9" ht="18">
      <c r="A21" s="29" t="s">
        <v>0</v>
      </c>
      <c r="B21" s="49">
        <f>11928.5+17.3</f>
        <v>11945.8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</f>
        <v>11028.299999999997</v>
      </c>
      <c r="E21" s="1">
        <f>D21/D17*100</f>
        <v>8.024170810944527</v>
      </c>
      <c r="F21" s="1">
        <f t="shared" si="3"/>
        <v>92.31947630129417</v>
      </c>
      <c r="G21" s="1">
        <f t="shared" si="0"/>
        <v>56.98319692460316</v>
      </c>
      <c r="H21" s="1">
        <f t="shared" si="2"/>
        <v>917.5000000000018</v>
      </c>
      <c r="I21" s="1">
        <f t="shared" si="1"/>
        <v>8325.300000000001</v>
      </c>
    </row>
    <row r="22" spans="1:9" ht="18">
      <c r="A22" s="29" t="s">
        <v>15</v>
      </c>
      <c r="B22" s="49">
        <f>1083.9+0.1</f>
        <v>1084</v>
      </c>
      <c r="C22" s="50">
        <f>1388.5-4+10.9</f>
        <v>1395.4</v>
      </c>
      <c r="D22" s="51">
        <f>14.2+80.1+19.7+105+3.5+1.3+30+84.1+0.1+72.2+54.8+15.1+59.3+59.3+8.9+52.2+1.2+36.9+21.6+108.1+114.2+52.3</f>
        <v>994.1</v>
      </c>
      <c r="E22" s="1">
        <f>D22/D17*100</f>
        <v>0.7233053329307289</v>
      </c>
      <c r="F22" s="1">
        <f t="shared" si="3"/>
        <v>91.70664206642066</v>
      </c>
      <c r="G22" s="1">
        <f t="shared" si="0"/>
        <v>71.24122115522431</v>
      </c>
      <c r="H22" s="1">
        <f t="shared" si="2"/>
        <v>89.89999999999998</v>
      </c>
      <c r="I22" s="1">
        <f t="shared" si="1"/>
        <v>401.30000000000007</v>
      </c>
    </row>
    <row r="23" spans="1:9" ht="18.75" thickBot="1">
      <c r="A23" s="29" t="s">
        <v>35</v>
      </c>
      <c r="B23" s="50">
        <f>B17-B18-B19-B20-B21-B22</f>
        <v>11035.10000000001</v>
      </c>
      <c r="C23" s="50">
        <f>C17-C18-C19-C20-C21-C22</f>
        <v>12960.000000000016</v>
      </c>
      <c r="D23" s="50">
        <f>D17-D18-D19-D20-D21-D22</f>
        <v>8862.900000000049</v>
      </c>
      <c r="E23" s="1">
        <f>D23/D17*100</f>
        <v>6.448629750761284</v>
      </c>
      <c r="F23" s="1">
        <f t="shared" si="3"/>
        <v>80.31553859955996</v>
      </c>
      <c r="G23" s="1">
        <f t="shared" si="0"/>
        <v>68.38657407407437</v>
      </c>
      <c r="H23" s="1">
        <f t="shared" si="2"/>
        <v>2172.1999999999607</v>
      </c>
      <c r="I23" s="1">
        <f t="shared" si="1"/>
        <v>4097.099999999968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28936.1</v>
      </c>
      <c r="C31" s="53">
        <f>38286.9-761.1-47.5</f>
        <v>37478.3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</f>
        <v>26134.499999999993</v>
      </c>
      <c r="E31" s="3">
        <f>D31/D137*100</f>
        <v>5.861474875771246</v>
      </c>
      <c r="F31" s="3">
        <f>D31/B31*100</f>
        <v>90.31797650685473</v>
      </c>
      <c r="G31" s="3">
        <f t="shared" si="0"/>
        <v>69.73235178756771</v>
      </c>
      <c r="H31" s="3">
        <f t="shared" si="2"/>
        <v>2801.600000000006</v>
      </c>
      <c r="I31" s="3">
        <f t="shared" si="1"/>
        <v>11343.80000000001</v>
      </c>
    </row>
    <row r="32" spans="1:9" ht="18">
      <c r="A32" s="29" t="s">
        <v>3</v>
      </c>
      <c r="B32" s="49">
        <f>22097.5-230.4</f>
        <v>21867.1</v>
      </c>
      <c r="C32" s="50">
        <f>28976.1-761.1</f>
        <v>28215</v>
      </c>
      <c r="D32" s="51">
        <f>1119.5+1121.1+1039.4+104.2+1079.5+1133.4+1048+1163.9+1081.6+1130.3+1238-0.1+13.4+4.1+3118.3+55.1+2433-70.8+488+299.2+413.9+849.2+1170.6</f>
        <v>20032.8</v>
      </c>
      <c r="E32" s="1">
        <f>D32/D31*100</f>
        <v>76.65270045342365</v>
      </c>
      <c r="F32" s="1">
        <f t="shared" si="3"/>
        <v>91.6115991603825</v>
      </c>
      <c r="G32" s="1">
        <f t="shared" si="0"/>
        <v>71.00053163211058</v>
      </c>
      <c r="H32" s="1">
        <f t="shared" si="2"/>
        <v>1834.2999999999993</v>
      </c>
      <c r="I32" s="1">
        <f t="shared" si="1"/>
        <v>8182.200000000001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f>935.4+2</f>
        <v>937.4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</f>
        <v>719.2999999999997</v>
      </c>
      <c r="E34" s="1">
        <f>D34/D31*100</f>
        <v>2.752300598825307</v>
      </c>
      <c r="F34" s="1">
        <f t="shared" si="3"/>
        <v>76.73351824194577</v>
      </c>
      <c r="G34" s="1">
        <f t="shared" si="0"/>
        <v>41.453434762563376</v>
      </c>
      <c r="H34" s="1">
        <f t="shared" si="2"/>
        <v>218.10000000000025</v>
      </c>
      <c r="I34" s="1">
        <f t="shared" si="1"/>
        <v>1015.9000000000003</v>
      </c>
    </row>
    <row r="35" spans="1:9" s="44" customFormat="1" ht="18.75">
      <c r="A35" s="23" t="s">
        <v>7</v>
      </c>
      <c r="B35" s="58">
        <v>575.6</v>
      </c>
      <c r="C35" s="59">
        <v>715.3</v>
      </c>
      <c r="D35" s="60">
        <f>38.5+5.5+3+4.5+22.1+25.5+8.2+45.3+17.5+1+24+2.2+10+60+29.8</f>
        <v>297.09999999999997</v>
      </c>
      <c r="E35" s="19">
        <f>D35/D31*100</f>
        <v>1.136811494384817</v>
      </c>
      <c r="F35" s="19">
        <f t="shared" si="3"/>
        <v>51.61570535093814</v>
      </c>
      <c r="G35" s="19">
        <f t="shared" si="0"/>
        <v>41.535020271214876</v>
      </c>
      <c r="H35" s="19">
        <f t="shared" si="2"/>
        <v>278.50000000000006</v>
      </c>
      <c r="I35" s="19">
        <f t="shared" si="1"/>
        <v>418.2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0.06887447626700341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5538</v>
      </c>
      <c r="C37" s="49">
        <f>C31-C32-C34-C35-C33-C36</f>
        <v>6787.600000000003</v>
      </c>
      <c r="D37" s="49">
        <f>D31-D32-D34-D35-D33-D36</f>
        <v>5067.299999999994</v>
      </c>
      <c r="E37" s="1">
        <f>D37/D31*100</f>
        <v>19.38931297709922</v>
      </c>
      <c r="F37" s="1">
        <f t="shared" si="3"/>
        <v>91.5005417118092</v>
      </c>
      <c r="G37" s="1">
        <f t="shared" si="0"/>
        <v>74.6552536979196</v>
      </c>
      <c r="H37" s="1">
        <f>B37-D37</f>
        <v>470.7000000000062</v>
      </c>
      <c r="I37" s="1">
        <f t="shared" si="1"/>
        <v>1720.3000000000093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735.1</v>
      </c>
      <c r="C41" s="53">
        <f>1079.9+40.7-300</f>
        <v>820.6000000000001</v>
      </c>
      <c r="D41" s="54">
        <f>39.9+10-0.1+63.8+32.1+23.9+51.2+20.3+38.8+26.2+1.3+95+24+3.6+45.4</f>
        <v>475.40000000000003</v>
      </c>
      <c r="E41" s="3">
        <f>D41/D137*100</f>
        <v>0.10662324344990917</v>
      </c>
      <c r="F41" s="3">
        <f>D41/B41*100</f>
        <v>64.671473268943</v>
      </c>
      <c r="G41" s="3">
        <f t="shared" si="0"/>
        <v>57.93321959541798</v>
      </c>
      <c r="H41" s="3">
        <f t="shared" si="2"/>
        <v>259.7</v>
      </c>
      <c r="I41" s="3">
        <f t="shared" si="1"/>
        <v>345.2000000000001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4498.3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</f>
        <v>4077.1999999999994</v>
      </c>
      <c r="E43" s="3">
        <f>D43/D137*100</f>
        <v>0.9144389739040168</v>
      </c>
      <c r="F43" s="3">
        <f>D43/B43*100</f>
        <v>90.63868572571859</v>
      </c>
      <c r="G43" s="3">
        <f aca="true" t="shared" si="4" ref="G43:G73">D43/C43*100</f>
        <v>66.78350886963356</v>
      </c>
      <c r="H43" s="3">
        <f>B43-D43</f>
        <v>421.1000000000008</v>
      </c>
      <c r="I43" s="3">
        <f aca="true" t="shared" si="5" ref="I43:I74">C43-D43</f>
        <v>2027.900000000001</v>
      </c>
    </row>
    <row r="44" spans="1:9" ht="18">
      <c r="A44" s="29" t="s">
        <v>3</v>
      </c>
      <c r="B44" s="49">
        <v>3997.6</v>
      </c>
      <c r="C44" s="50">
        <f>5484.1-124.7</f>
        <v>5359.400000000001</v>
      </c>
      <c r="D44" s="51">
        <f>179.7+201.3+187+211.8+190.5+230.5+236.3+199.9+0.1+218.5+248.3+8.2+228.5-0.1+273.7+231.2+200.7+36.5+228.6+183.7-0.1+193.6</f>
        <v>3688.399999999999</v>
      </c>
      <c r="E44" s="1">
        <f>D44/D43*100</f>
        <v>90.46404395173158</v>
      </c>
      <c r="F44" s="1">
        <f aca="true" t="shared" si="6" ref="F44:F71">D44/B44*100</f>
        <v>92.2653592155293</v>
      </c>
      <c r="G44" s="1">
        <f t="shared" si="4"/>
        <v>68.82113669440606</v>
      </c>
      <c r="H44" s="1">
        <f aca="true" t="shared" si="7" ref="H44:H71">B44-D44</f>
        <v>309.2000000000007</v>
      </c>
      <c r="I44" s="1">
        <f t="shared" si="5"/>
        <v>1671.0000000000014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0.02452663592661631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f>21.9+2.5</f>
        <v>24.4</v>
      </c>
      <c r="C46" s="50">
        <f>35.1+9.9</f>
        <v>45</v>
      </c>
      <c r="D46" s="51">
        <f>3.2+3.4-0.1+3.7+3.6+3.5+3.2</f>
        <v>20.499999999999996</v>
      </c>
      <c r="E46" s="1">
        <f>D46/D43*100</f>
        <v>0.5027960364956343</v>
      </c>
      <c r="F46" s="1">
        <f t="shared" si="6"/>
        <v>84.01639344262294</v>
      </c>
      <c r="G46" s="1">
        <f t="shared" si="4"/>
        <v>45.55555555555555</v>
      </c>
      <c r="H46" s="1">
        <f t="shared" si="7"/>
        <v>3.900000000000002</v>
      </c>
      <c r="I46" s="1">
        <f t="shared" si="5"/>
        <v>24.500000000000004</v>
      </c>
    </row>
    <row r="47" spans="1:9" ht="18">
      <c r="A47" s="29" t="s">
        <v>0</v>
      </c>
      <c r="B47" s="49">
        <v>216.7</v>
      </c>
      <c r="C47" s="50">
        <f>358+23.1</f>
        <v>381.1</v>
      </c>
      <c r="D47" s="51">
        <f>23.1+2.7+0.5+0.4+5.2+0.6+99.9+12.6+20.5-0.1+2+19.6+1.1+0.5+4.4+0.4+3.4+4+2.3+0.3</f>
        <v>203.40000000000003</v>
      </c>
      <c r="E47" s="1">
        <f>D47/D43*100</f>
        <v>4.988717747473758</v>
      </c>
      <c r="F47" s="1">
        <f t="shared" si="6"/>
        <v>93.86248269497003</v>
      </c>
      <c r="G47" s="1">
        <f t="shared" si="4"/>
        <v>53.37181842036212</v>
      </c>
      <c r="H47" s="1">
        <f t="shared" si="7"/>
        <v>13.299999999999955</v>
      </c>
      <c r="I47" s="1">
        <f t="shared" si="5"/>
        <v>177.7</v>
      </c>
    </row>
    <row r="48" spans="1:9" ht="18.75" thickBot="1">
      <c r="A48" s="29" t="s">
        <v>35</v>
      </c>
      <c r="B48" s="50">
        <f>B43-B44-B47-B46-B45</f>
        <v>258.6000000000003</v>
      </c>
      <c r="C48" s="50">
        <f>C43-C44-C47-C46-C45</f>
        <v>318.5999999999998</v>
      </c>
      <c r="D48" s="50">
        <f>D43-D44-D47-D46-D45</f>
        <v>163.90000000000015</v>
      </c>
      <c r="E48" s="1">
        <f>D48/D43*100</f>
        <v>4.0199156283724164</v>
      </c>
      <c r="F48" s="1">
        <f t="shared" si="6"/>
        <v>63.3797370456303</v>
      </c>
      <c r="G48" s="1">
        <f t="shared" si="4"/>
        <v>51.443816698054064</v>
      </c>
      <c r="H48" s="1">
        <f t="shared" si="7"/>
        <v>94.70000000000016</v>
      </c>
      <c r="I48" s="1">
        <f t="shared" si="5"/>
        <v>154.69999999999965</v>
      </c>
    </row>
    <row r="49" spans="1:9" ht="18.75" thickBot="1">
      <c r="A49" s="28" t="s">
        <v>4</v>
      </c>
      <c r="B49" s="52">
        <v>8952.4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</f>
        <v>8086.599999999999</v>
      </c>
      <c r="E49" s="3">
        <f>D49/D137*100</f>
        <v>1.8136716880143782</v>
      </c>
      <c r="F49" s="3">
        <f>D49/B49*100</f>
        <v>90.32885036414817</v>
      </c>
      <c r="G49" s="3">
        <f t="shared" si="4"/>
        <v>66.6101052700944</v>
      </c>
      <c r="H49" s="3">
        <f>B49-D49</f>
        <v>865.8000000000002</v>
      </c>
      <c r="I49" s="3">
        <f t="shared" si="5"/>
        <v>4053.5999999999995</v>
      </c>
    </row>
    <row r="50" spans="1:9" ht="18">
      <c r="A50" s="29" t="s">
        <v>3</v>
      </c>
      <c r="B50" s="49">
        <v>5653.6</v>
      </c>
      <c r="C50" s="50">
        <f>7727-234.9</f>
        <v>7492.1</v>
      </c>
      <c r="D50" s="51">
        <f>282.8+343.5+279.8+360.5+269.9+364.8-0.1+7.2+231.6+28.9+358.6+269.6+381.2-0.1+7.2+297.2+563.3+0.1+313.9+22.4+240.9+0.1+181.6+201.2+250.5</f>
        <v>5256.599999999999</v>
      </c>
      <c r="E50" s="1">
        <f>D50/D49*100</f>
        <v>65.00383350233719</v>
      </c>
      <c r="F50" s="1">
        <f t="shared" si="6"/>
        <v>92.97792556954859</v>
      </c>
      <c r="G50" s="1">
        <f t="shared" si="4"/>
        <v>70.16190387207858</v>
      </c>
      <c r="H50" s="1">
        <f t="shared" si="7"/>
        <v>397.0000000000009</v>
      </c>
      <c r="I50" s="1">
        <f t="shared" si="5"/>
        <v>2235.500000000001</v>
      </c>
    </row>
    <row r="51" spans="1:9" ht="18">
      <c r="A51" s="29" t="s">
        <v>2</v>
      </c>
      <c r="B51" s="49">
        <v>3.3</v>
      </c>
      <c r="C51" s="50">
        <v>9.7</v>
      </c>
      <c r="D51" s="51">
        <f>0.5</f>
        <v>0.5</v>
      </c>
      <c r="E51" s="12">
        <f>D51/D49*100</f>
        <v>0.006183068285806149</v>
      </c>
      <c r="F51" s="1">
        <f t="shared" si="6"/>
        <v>15.151515151515152</v>
      </c>
      <c r="G51" s="1">
        <f t="shared" si="4"/>
        <v>5.154639175257732</v>
      </c>
      <c r="H51" s="1">
        <f t="shared" si="7"/>
        <v>2.8</v>
      </c>
      <c r="I51" s="1">
        <f t="shared" si="5"/>
        <v>9.2</v>
      </c>
    </row>
    <row r="52" spans="1:9" ht="18">
      <c r="A52" s="29" t="s">
        <v>1</v>
      </c>
      <c r="B52" s="49">
        <f>214.7-10.8</f>
        <v>203.89999999999998</v>
      </c>
      <c r="C52" s="50">
        <v>325</v>
      </c>
      <c r="D52" s="51">
        <f>2.4+4.2+4.2+8.7+3.1+5.2-0.1+2.3+6.7+7.1+0.1+3.9+3.5+21.5+2.5-0.1+4.3+17.5+11.1+0.7-0.1+5.1+1.5+0.9</f>
        <v>116.20000000000002</v>
      </c>
      <c r="E52" s="1">
        <f>D52/D49*100</f>
        <v>1.4369450696213493</v>
      </c>
      <c r="F52" s="1">
        <f t="shared" si="6"/>
        <v>56.9887199607651</v>
      </c>
      <c r="G52" s="1">
        <f t="shared" si="4"/>
        <v>35.753846153846155</v>
      </c>
      <c r="H52" s="1">
        <f t="shared" si="7"/>
        <v>87.69999999999996</v>
      </c>
      <c r="I52" s="1">
        <f t="shared" si="5"/>
        <v>208.79999999999998</v>
      </c>
    </row>
    <row r="53" spans="1:9" ht="18">
      <c r="A53" s="29" t="s">
        <v>0</v>
      </c>
      <c r="B53" s="49">
        <v>265.2</v>
      </c>
      <c r="C53" s="50">
        <f>534.1-3</f>
        <v>531.1</v>
      </c>
      <c r="D53" s="51">
        <f>6+11+5+10.4+0.1+20.8+16+0.1+76.5+39.2+7.7+0.3+8.1+0.1+0.2+12-0.1+0.1+4.7+0.1+6.4+2.7+8.2+0.3+5.7+1.7+0.9</f>
        <v>244.1999999999999</v>
      </c>
      <c r="E53" s="1">
        <f>D53/D49*100</f>
        <v>3.0198105507877218</v>
      </c>
      <c r="F53" s="1">
        <f t="shared" si="6"/>
        <v>92.08144796380088</v>
      </c>
      <c r="G53" s="1">
        <f t="shared" si="4"/>
        <v>45.98004142346072</v>
      </c>
      <c r="H53" s="1">
        <f t="shared" si="7"/>
        <v>21.000000000000085</v>
      </c>
      <c r="I53" s="1">
        <f t="shared" si="5"/>
        <v>286.9000000000001</v>
      </c>
    </row>
    <row r="54" spans="1:9" ht="18.75" thickBot="1">
      <c r="A54" s="29" t="s">
        <v>35</v>
      </c>
      <c r="B54" s="50">
        <f>B49-B50-B53-B52-B51</f>
        <v>2826.399999999999</v>
      </c>
      <c r="C54" s="50">
        <f>C49-C50-C53-C52-C51</f>
        <v>3782.2999999999984</v>
      </c>
      <c r="D54" s="50">
        <f>D49-D50-D53-D52-D51</f>
        <v>2469.1000000000004</v>
      </c>
      <c r="E54" s="1">
        <f>D54/D49*100</f>
        <v>30.53322780896793</v>
      </c>
      <c r="F54" s="1">
        <f t="shared" si="6"/>
        <v>87.35847721483164</v>
      </c>
      <c r="G54" s="1">
        <f t="shared" si="4"/>
        <v>65.2803849509558</v>
      </c>
      <c r="H54" s="1">
        <f t="shared" si="7"/>
        <v>357.2999999999988</v>
      </c>
      <c r="I54" s="1">
        <f>C54-D54</f>
        <v>1313.199999999998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2597.7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</f>
        <v>2492.3</v>
      </c>
      <c r="E56" s="3">
        <f>D56/D137*100</f>
        <v>0.5589758301434764</v>
      </c>
      <c r="F56" s="3">
        <f>D56/B56*100</f>
        <v>95.94256457635602</v>
      </c>
      <c r="G56" s="3">
        <f t="shared" si="4"/>
        <v>82.55929508413939</v>
      </c>
      <c r="H56" s="3">
        <f>B56-D56</f>
        <v>105.39999999999964</v>
      </c>
      <c r="I56" s="3">
        <f t="shared" si="5"/>
        <v>526.5</v>
      </c>
    </row>
    <row r="57" spans="1:9" ht="18">
      <c r="A57" s="29" t="s">
        <v>3</v>
      </c>
      <c r="B57" s="49">
        <v>1450.3</v>
      </c>
      <c r="C57" s="50">
        <f>2589.6-887.6+7.9</f>
        <v>1709.9</v>
      </c>
      <c r="D57" s="51">
        <f>128-60.9+102.5+75.2+87.9+68.6+30+93+68.5+96.9-0.1+67+116.4+112.6+49.7+83+52.4+24.4+26.2+0.2+55.4+42.6+44.2</f>
        <v>1363.7000000000003</v>
      </c>
      <c r="E57" s="1">
        <f>D57/D56*100</f>
        <v>54.71652690286082</v>
      </c>
      <c r="F57" s="1">
        <f t="shared" si="6"/>
        <v>94.02882162311248</v>
      </c>
      <c r="G57" s="1">
        <f t="shared" si="4"/>
        <v>79.75320194163402</v>
      </c>
      <c r="H57" s="1">
        <f t="shared" si="7"/>
        <v>86.59999999999968</v>
      </c>
      <c r="I57" s="1">
        <f t="shared" si="5"/>
        <v>346.1999999999998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7.278417525980019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4.5+4.5+30.5+35.2+10+24.5+10.2+0.1+1.9+1.8+3+1.2+0.9+0.8</f>
        <v>129.10000000000002</v>
      </c>
      <c r="E59" s="1">
        <f>D59/D56*100</f>
        <v>5.179954259118085</v>
      </c>
      <c r="F59" s="1">
        <f t="shared" si="6"/>
        <v>95.34711964549484</v>
      </c>
      <c r="G59" s="1">
        <f t="shared" si="4"/>
        <v>44.841959013546386</v>
      </c>
      <c r="H59" s="1">
        <f t="shared" si="7"/>
        <v>6.299999999999983</v>
      </c>
      <c r="I59" s="1">
        <f t="shared" si="5"/>
        <v>158.79999999999995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29.222003771616578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102.29999999999993</v>
      </c>
      <c r="C61" s="50">
        <f>C56-C57-C59-C60-C58</f>
        <v>111.30000000000004</v>
      </c>
      <c r="D61" s="50">
        <f>D56-D57-D59-D60-D58</f>
        <v>89.79999999999981</v>
      </c>
      <c r="E61" s="1">
        <f>D61/D56*100</f>
        <v>3.6030975404245</v>
      </c>
      <c r="F61" s="1">
        <f t="shared" si="6"/>
        <v>87.78103616813281</v>
      </c>
      <c r="G61" s="1">
        <f t="shared" si="4"/>
        <v>80.68283917340501</v>
      </c>
      <c r="H61" s="1">
        <f t="shared" si="7"/>
        <v>12.500000000000114</v>
      </c>
      <c r="I61" s="1">
        <f t="shared" si="5"/>
        <v>21.500000000000227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343.5</v>
      </c>
      <c r="C66" s="53">
        <f>C67+C68</f>
        <v>460</v>
      </c>
      <c r="D66" s="54">
        <f>SUM(D67:D68)</f>
        <v>1.4</v>
      </c>
      <c r="E66" s="42">
        <f>D66/D137*100</f>
        <v>0.00031399356506073376</v>
      </c>
      <c r="F66" s="113">
        <f>D66/B66*100</f>
        <v>0.40756914119359533</v>
      </c>
      <c r="G66" s="3">
        <f t="shared" si="4"/>
        <v>0.30434782608695654</v>
      </c>
      <c r="H66" s="3">
        <f>B66-D66</f>
        <v>342.1</v>
      </c>
      <c r="I66" s="3">
        <f t="shared" si="5"/>
        <v>458.6</v>
      </c>
    </row>
    <row r="67" spans="1:9" ht="18">
      <c r="A67" s="29" t="s">
        <v>8</v>
      </c>
      <c r="B67" s="49">
        <v>209.3</v>
      </c>
      <c r="C67" s="50">
        <v>257.4</v>
      </c>
      <c r="D67" s="51">
        <f>1.4</f>
        <v>1.4</v>
      </c>
      <c r="E67" s="1"/>
      <c r="F67" s="1">
        <f t="shared" si="6"/>
        <v>0.668896321070234</v>
      </c>
      <c r="G67" s="1">
        <f t="shared" si="4"/>
        <v>0.5439005439005439</v>
      </c>
      <c r="H67" s="1">
        <f t="shared" si="7"/>
        <v>207.9</v>
      </c>
      <c r="I67" s="1">
        <f t="shared" si="5"/>
        <v>255.99999999999997</v>
      </c>
    </row>
    <row r="68" spans="1:9" ht="18.75" thickBot="1">
      <c r="A68" s="29" t="s">
        <v>9</v>
      </c>
      <c r="B68" s="49">
        <v>134.2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134.2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300</v>
      </c>
      <c r="C74" s="69">
        <v>400</v>
      </c>
      <c r="D74" s="70"/>
      <c r="E74" s="48"/>
      <c r="F74" s="48"/>
      <c r="G74" s="48"/>
      <c r="H74" s="48">
        <f>B74-D74</f>
        <v>300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34755.2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</f>
        <v>30801.100000000006</v>
      </c>
      <c r="E87" s="3">
        <f>D87/D137*100</f>
        <v>6.9081051405658345</v>
      </c>
      <c r="F87" s="3">
        <f aca="true" t="shared" si="10" ref="F87:F92">D87/B87*100</f>
        <v>88.62299742196853</v>
      </c>
      <c r="G87" s="3">
        <f t="shared" si="8"/>
        <v>68.50321375353069</v>
      </c>
      <c r="H87" s="3">
        <f aca="true" t="shared" si="11" ref="H87:H92">B87-D87</f>
        <v>3954.0999999999913</v>
      </c>
      <c r="I87" s="3">
        <f t="shared" si="9"/>
        <v>14161.899999999994</v>
      </c>
    </row>
    <row r="88" spans="1:9" ht="18">
      <c r="A88" s="29" t="s">
        <v>3</v>
      </c>
      <c r="B88" s="49">
        <v>29104.5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</f>
        <v>26313.7</v>
      </c>
      <c r="E88" s="1">
        <f>D88/D87*100</f>
        <v>85.43103980052659</v>
      </c>
      <c r="F88" s="1">
        <f t="shared" si="10"/>
        <v>90.41110481197066</v>
      </c>
      <c r="G88" s="1">
        <f t="shared" si="8"/>
        <v>69.22417217584834</v>
      </c>
      <c r="H88" s="1">
        <f t="shared" si="11"/>
        <v>2790.7999999999993</v>
      </c>
      <c r="I88" s="1">
        <f t="shared" si="9"/>
        <v>11698.600000000002</v>
      </c>
    </row>
    <row r="89" spans="1:9" ht="18">
      <c r="A89" s="29" t="s">
        <v>33</v>
      </c>
      <c r="B89" s="49">
        <v>1400.8</v>
      </c>
      <c r="C89" s="50">
        <f>1866.3+51.3</f>
        <v>1917.6</v>
      </c>
      <c r="D89" s="51">
        <f>125+55.5+51.3+1.7-0.1+10.4+5.3+280.6+162.7+2.2+25.3+117.8+56.8+64.4+1.4+31+7.8+37.2+1.9+36.4+8.8+1+3.9+10.1+30.1+1.8+10.7+4.2+23.3</f>
        <v>1168.5</v>
      </c>
      <c r="E89" s="1">
        <f>D89/D87*100</f>
        <v>3.7936956796997503</v>
      </c>
      <c r="F89" s="1">
        <f t="shared" si="10"/>
        <v>83.41661907481439</v>
      </c>
      <c r="G89" s="1">
        <f t="shared" si="8"/>
        <v>60.93554443053818</v>
      </c>
      <c r="H89" s="1">
        <f t="shared" si="11"/>
        <v>232.29999999999995</v>
      </c>
      <c r="I89" s="1">
        <f t="shared" si="9"/>
        <v>749.0999999999999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4249.899999999997</v>
      </c>
      <c r="C91" s="50">
        <f>C87-C88-C89-C90</f>
        <v>5033.099999999997</v>
      </c>
      <c r="D91" s="50">
        <f>D87-D88-D89-D90</f>
        <v>3318.900000000005</v>
      </c>
      <c r="E91" s="1">
        <f>D91/D87*100</f>
        <v>10.775264519773659</v>
      </c>
      <c r="F91" s="1">
        <f t="shared" si="10"/>
        <v>78.09360220240494</v>
      </c>
      <c r="G91" s="1">
        <f>D91/C91*100</f>
        <v>65.94146748524781</v>
      </c>
      <c r="H91" s="1">
        <f t="shared" si="11"/>
        <v>930.9999999999918</v>
      </c>
      <c r="I91" s="1">
        <f>C91-D91</f>
        <v>1714.1999999999916</v>
      </c>
    </row>
    <row r="92" spans="1:9" ht="19.5" thickBot="1">
      <c r="A92" s="14" t="s">
        <v>12</v>
      </c>
      <c r="B92" s="61">
        <v>34302.7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</f>
        <v>24902.500000000004</v>
      </c>
      <c r="E92" s="3">
        <f>D92/D137*100</f>
        <v>5.585160538517803</v>
      </c>
      <c r="F92" s="3">
        <f t="shared" si="10"/>
        <v>72.59632623671025</v>
      </c>
      <c r="G92" s="3">
        <f>D92/C92*100</f>
        <v>57.57483977767708</v>
      </c>
      <c r="H92" s="3">
        <f t="shared" si="11"/>
        <v>9400.199999999993</v>
      </c>
      <c r="I92" s="3">
        <f>C92-D92</f>
        <v>18349.899999999998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4764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</f>
        <v>4186.5</v>
      </c>
      <c r="E98" s="25">
        <f>D98/D137*100</f>
        <v>0.9389529000905443</v>
      </c>
      <c r="F98" s="25">
        <f>D98/B98*100</f>
        <v>87.87783375314862</v>
      </c>
      <c r="G98" s="25">
        <f aca="true" t="shared" si="12" ref="G98:G135">D98/C98*100</f>
        <v>67.92076316557967</v>
      </c>
      <c r="H98" s="25">
        <f aca="true" t="shared" si="13" ref="H98:H103">B98-D98</f>
        <v>577.5</v>
      </c>
      <c r="I98" s="25">
        <f aca="true" t="shared" si="14" ref="I98:I135">C98-D98</f>
        <v>1977.3000000000002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0.3630717783351248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v>4422.2</v>
      </c>
      <c r="C100" s="51">
        <f>5711.4</f>
        <v>5711.4</v>
      </c>
      <c r="D100" s="51">
        <f>3302.1+5.1+16.7+151+216.3+17.4+13.8+53.7+7.6+119.5</f>
        <v>3903.2</v>
      </c>
      <c r="E100" s="1">
        <f>D100/D98*100</f>
        <v>93.23301086826704</v>
      </c>
      <c r="F100" s="1">
        <f aca="true" t="shared" si="15" ref="F100:F135">D100/B100*100</f>
        <v>88.26376011939759</v>
      </c>
      <c r="G100" s="1">
        <f t="shared" si="12"/>
        <v>68.34051195853907</v>
      </c>
      <c r="H100" s="1">
        <f t="shared" si="13"/>
        <v>519</v>
      </c>
      <c r="I100" s="1">
        <f t="shared" si="14"/>
        <v>1808.1999999999998</v>
      </c>
    </row>
    <row r="101" spans="1:9" ht="54.75" thickBot="1">
      <c r="A101" s="99" t="s">
        <v>107</v>
      </c>
      <c r="B101" s="101">
        <v>260.7</v>
      </c>
      <c r="C101" s="101">
        <v>400.1</v>
      </c>
      <c r="D101" s="101">
        <f>17.7+41.2+3+5.2+16.9+34.4+10.6+13.9+13.1+2.6</f>
        <v>158.6</v>
      </c>
      <c r="E101" s="97">
        <f>D101/D98*100</f>
        <v>3.7883673713125523</v>
      </c>
      <c r="F101" s="97">
        <f>D101/B101*100</f>
        <v>60.83621020329881</v>
      </c>
      <c r="G101" s="97">
        <f>D101/C101*100</f>
        <v>39.640089977505625</v>
      </c>
      <c r="H101" s="97">
        <f t="shared" si="13"/>
        <v>102.1</v>
      </c>
      <c r="I101" s="97">
        <f>C101-D101</f>
        <v>241.50000000000003</v>
      </c>
    </row>
    <row r="102" spans="1:9" ht="18.75" thickBot="1">
      <c r="A102" s="99" t="s">
        <v>35</v>
      </c>
      <c r="B102" s="101">
        <f>B98-B99-B100</f>
        <v>326.60000000000036</v>
      </c>
      <c r="C102" s="101">
        <f>C98-C99-C100</f>
        <v>437.2000000000007</v>
      </c>
      <c r="D102" s="101">
        <f>D98-D99-D100</f>
        <v>268.10000000000036</v>
      </c>
      <c r="E102" s="97">
        <f>D102/D98*100</f>
        <v>6.403917353397835</v>
      </c>
      <c r="F102" s="97">
        <f t="shared" si="15"/>
        <v>82.08818126148195</v>
      </c>
      <c r="G102" s="97">
        <f t="shared" si="12"/>
        <v>61.32204940530648</v>
      </c>
      <c r="H102" s="97">
        <f>B102-D102</f>
        <v>58.5</v>
      </c>
      <c r="I102" s="97">
        <f t="shared" si="14"/>
        <v>169.10000000000036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13219.499999999998</v>
      </c>
      <c r="C103" s="94">
        <f>SUM(C104:C134)-C111-C115+C135-C130-C131-C105-C108-C118-C119</f>
        <v>17184.1</v>
      </c>
      <c r="D103" s="94">
        <f>SUM(D104:D134)-D111-D115+D135-D130-D131-D105-D108-D118-D119</f>
        <v>9805.7</v>
      </c>
      <c r="E103" s="95">
        <f>D103/D137*100</f>
        <v>2.1992333577971697</v>
      </c>
      <c r="F103" s="95">
        <f>D103/B103*100</f>
        <v>74.17602783766407</v>
      </c>
      <c r="G103" s="95">
        <f t="shared" si="12"/>
        <v>57.06263348095042</v>
      </c>
      <c r="H103" s="95">
        <f t="shared" si="13"/>
        <v>3413.7999999999975</v>
      </c>
      <c r="I103" s="95">
        <f t="shared" si="14"/>
        <v>7378.399999999998</v>
      </c>
    </row>
    <row r="104" spans="1:9" ht="37.5">
      <c r="A104" s="34" t="s">
        <v>69</v>
      </c>
      <c r="B104" s="79">
        <v>892.8</v>
      </c>
      <c r="C104" s="75">
        <f>1869.9-400</f>
        <v>1469.9</v>
      </c>
      <c r="D104" s="80">
        <f>1.4+20.1+85.2+143.2+49+97.4+39.5+2.1+10+69.9+14+22.7+50+22.1+4.6</f>
        <v>631.2</v>
      </c>
      <c r="E104" s="6">
        <f>D104/D103*100</f>
        <v>6.437072315082045</v>
      </c>
      <c r="F104" s="6">
        <f t="shared" si="15"/>
        <v>70.6989247311828</v>
      </c>
      <c r="G104" s="6">
        <f t="shared" si="12"/>
        <v>42.94169671406218</v>
      </c>
      <c r="H104" s="6">
        <f aca="true" t="shared" si="16" ref="H104:H135">B104-D104</f>
        <v>261.5999999999999</v>
      </c>
      <c r="I104" s="6">
        <f t="shared" si="14"/>
        <v>838.7</v>
      </c>
    </row>
    <row r="105" spans="1:9" ht="18">
      <c r="A105" s="29" t="s">
        <v>33</v>
      </c>
      <c r="B105" s="82">
        <v>477</v>
      </c>
      <c r="C105" s="51">
        <f>1242.6+0.7-337</f>
        <v>906.3</v>
      </c>
      <c r="D105" s="83">
        <f>1.4+85.2+143.2+49+2.1+10+14+22.7</f>
        <v>327.6</v>
      </c>
      <c r="E105" s="1"/>
      <c r="F105" s="1">
        <f t="shared" si="15"/>
        <v>68.67924528301887</v>
      </c>
      <c r="G105" s="1">
        <f t="shared" si="12"/>
        <v>36.14697120158888</v>
      </c>
      <c r="H105" s="1">
        <f t="shared" si="16"/>
        <v>149.39999999999998</v>
      </c>
      <c r="I105" s="1">
        <f t="shared" si="14"/>
        <v>578.6999999999999</v>
      </c>
    </row>
    <row r="106" spans="1:9" ht="34.5" customHeight="1">
      <c r="A106" s="17" t="s">
        <v>106</v>
      </c>
      <c r="B106" s="81">
        <v>557.5</v>
      </c>
      <c r="C106" s="68">
        <v>857.5</v>
      </c>
      <c r="D106" s="80">
        <f>4.6</f>
        <v>4.6</v>
      </c>
      <c r="E106" s="6">
        <f>D106/D103*100</f>
        <v>0.04691149025566762</v>
      </c>
      <c r="F106" s="6">
        <f>D106/B106*100</f>
        <v>0.8251121076233183</v>
      </c>
      <c r="G106" s="6">
        <f t="shared" si="12"/>
        <v>0.5364431486880465</v>
      </c>
      <c r="H106" s="6">
        <f t="shared" si="16"/>
        <v>552.9</v>
      </c>
      <c r="I106" s="6">
        <f t="shared" si="14"/>
        <v>852.9</v>
      </c>
    </row>
    <row r="107" spans="1:9" ht="34.5" customHeight="1">
      <c r="A107" s="17" t="s">
        <v>78</v>
      </c>
      <c r="B107" s="81">
        <v>26.4</v>
      </c>
      <c r="C107" s="68">
        <v>36.5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26.4</v>
      </c>
      <c r="I107" s="6">
        <f t="shared" si="14"/>
        <v>36.5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56.4</v>
      </c>
      <c r="C109" s="68">
        <v>75.5</v>
      </c>
      <c r="D109" s="80">
        <f>5.5+5.5+5.5-0.1+5.5+5.5+5.5+5.5-0.1+5.5</f>
        <v>43.8</v>
      </c>
      <c r="E109" s="6">
        <f>D109/D103*100</f>
        <v>0.44667897243440036</v>
      </c>
      <c r="F109" s="6">
        <f t="shared" si="15"/>
        <v>77.6595744680851</v>
      </c>
      <c r="G109" s="6">
        <f t="shared" si="12"/>
        <v>58.01324503311258</v>
      </c>
      <c r="H109" s="6">
        <f t="shared" si="16"/>
        <v>12.600000000000001</v>
      </c>
      <c r="I109" s="6">
        <f t="shared" si="14"/>
        <v>31.700000000000003</v>
      </c>
    </row>
    <row r="110" spans="1:9" ht="37.5">
      <c r="A110" s="17" t="s">
        <v>47</v>
      </c>
      <c r="B110" s="81">
        <v>782.4</v>
      </c>
      <c r="C110" s="68">
        <v>1050</v>
      </c>
      <c r="D110" s="80">
        <f>149.7+2.5+4.1+81.3+2.1+67.3+8+8.2+93.7+3.3+1.1+74.6+81.4+0.6+75.3+2.1</f>
        <v>655.3</v>
      </c>
      <c r="E110" s="6">
        <f>D110/D103*100</f>
        <v>6.6828477314215196</v>
      </c>
      <c r="F110" s="6">
        <f t="shared" si="15"/>
        <v>83.75511247443762</v>
      </c>
      <c r="G110" s="6">
        <f t="shared" si="12"/>
        <v>62.409523809523805</v>
      </c>
      <c r="H110" s="6">
        <f t="shared" si="16"/>
        <v>127.10000000000002</v>
      </c>
      <c r="I110" s="6">
        <f t="shared" si="14"/>
        <v>394.70000000000005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74.5</v>
      </c>
      <c r="C112" s="60">
        <f>51.6+22.9</f>
        <v>74.5</v>
      </c>
      <c r="D112" s="84">
        <f>22.9</f>
        <v>22.9</v>
      </c>
      <c r="E112" s="19">
        <f>D112/D103*100</f>
        <v>0.2335376362727801</v>
      </c>
      <c r="F112" s="6">
        <f t="shared" si="15"/>
        <v>30.738255033557042</v>
      </c>
      <c r="G112" s="19">
        <f t="shared" si="12"/>
        <v>30.738255033557042</v>
      </c>
      <c r="H112" s="19">
        <f t="shared" si="16"/>
        <v>51.6</v>
      </c>
      <c r="I112" s="19">
        <f t="shared" si="14"/>
        <v>51.6</v>
      </c>
    </row>
    <row r="113" spans="1:9" ht="37.5">
      <c r="A113" s="17" t="s">
        <v>60</v>
      </c>
      <c r="B113" s="81">
        <v>168.6</v>
      </c>
      <c r="C113" s="68">
        <f>488.6-250</f>
        <v>238.60000000000002</v>
      </c>
      <c r="D113" s="80">
        <f>4.9+70</f>
        <v>74.9</v>
      </c>
      <c r="E113" s="6">
        <f>D113/D103*100</f>
        <v>0.7638414391629359</v>
      </c>
      <c r="F113" s="6">
        <f>D113/B113*100</f>
        <v>44.4246737841044</v>
      </c>
      <c r="G113" s="6">
        <f t="shared" si="12"/>
        <v>31.391450125733446</v>
      </c>
      <c r="H113" s="6">
        <f t="shared" si="16"/>
        <v>93.69999999999999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158.3</v>
      </c>
      <c r="C114" s="60">
        <f>153.4+26.9</f>
        <v>180.3</v>
      </c>
      <c r="D114" s="80">
        <f>13.5+13.4+14.3+0.8+6.9+0.4+13.5-0.1+0.8+0.5+2+13.5-0.1+0.1+13.9+0.3+2.4+13.5+0.3+6.3</f>
        <v>116.2</v>
      </c>
      <c r="E114" s="6">
        <f>D114/D103*100</f>
        <v>1.1850250364583865</v>
      </c>
      <c r="F114" s="6">
        <f t="shared" si="15"/>
        <v>73.40492735312696</v>
      </c>
      <c r="G114" s="6">
        <f t="shared" si="12"/>
        <v>64.44814198557958</v>
      </c>
      <c r="H114" s="6">
        <f t="shared" si="16"/>
        <v>42.10000000000001</v>
      </c>
      <c r="I114" s="6">
        <f t="shared" si="14"/>
        <v>64.10000000000001</v>
      </c>
    </row>
    <row r="115" spans="1:9" s="39" customFormat="1" ht="18">
      <c r="A115" s="40" t="s">
        <v>54</v>
      </c>
      <c r="B115" s="82">
        <v>134.7</v>
      </c>
      <c r="C115" s="51">
        <f>121.2+27</f>
        <v>148.2</v>
      </c>
      <c r="D115" s="83">
        <f>13.5+13.4+13.5+13.5+13.4+13.5+13.5</f>
        <v>94.3</v>
      </c>
      <c r="E115" s="1"/>
      <c r="F115" s="1">
        <f t="shared" si="15"/>
        <v>70.00742390497402</v>
      </c>
      <c r="G115" s="1">
        <f t="shared" si="12"/>
        <v>63.63022941970311</v>
      </c>
      <c r="H115" s="1">
        <f t="shared" si="16"/>
        <v>40.39999999999999</v>
      </c>
      <c r="I115" s="1">
        <f t="shared" si="14"/>
        <v>53.89999999999999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614.7</v>
      </c>
      <c r="C117" s="60">
        <f>94.7+700</f>
        <v>794.7</v>
      </c>
      <c r="D117" s="84">
        <f>16.2+3.7+20.7+6.7</f>
        <v>47.3</v>
      </c>
      <c r="E117" s="19">
        <f>D117/D103*100</f>
        <v>0.4823724976289301</v>
      </c>
      <c r="F117" s="6">
        <f t="shared" si="15"/>
        <v>7.694810476655278</v>
      </c>
      <c r="G117" s="6">
        <f t="shared" si="12"/>
        <v>5.9519315464955325</v>
      </c>
      <c r="H117" s="6">
        <f t="shared" si="16"/>
        <v>567.4000000000001</v>
      </c>
      <c r="I117" s="6">
        <f t="shared" si="14"/>
        <v>747.4000000000001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1643.4</v>
      </c>
      <c r="C120" s="60">
        <v>1700.1</v>
      </c>
      <c r="D120" s="84">
        <f>196.6+25+11.8+12.7+6.1+3.1+261.8+113.5+10.8</f>
        <v>641.4</v>
      </c>
      <c r="E120" s="19">
        <f>D120/D103*100</f>
        <v>6.541093445648959</v>
      </c>
      <c r="F120" s="6">
        <f t="shared" si="15"/>
        <v>39.02884264330047</v>
      </c>
      <c r="G120" s="6">
        <f t="shared" si="12"/>
        <v>37.72719251808717</v>
      </c>
      <c r="H120" s="6">
        <f t="shared" si="16"/>
        <v>1002.0000000000001</v>
      </c>
      <c r="I120" s="6">
        <f t="shared" si="14"/>
        <v>1058.6999999999998</v>
      </c>
    </row>
    <row r="121" spans="1:9" s="2" customFormat="1" ht="56.25">
      <c r="A121" s="17" t="s">
        <v>56</v>
      </c>
      <c r="B121" s="81">
        <v>151.3</v>
      </c>
      <c r="C121" s="60">
        <f>157.1+1.2</f>
        <v>158.29999999999998</v>
      </c>
      <c r="D121" s="84">
        <f>3.8+0.6</f>
        <v>4.3999999999999995</v>
      </c>
      <c r="E121" s="19">
        <f>D121/D103*100</f>
        <v>0.04487186024455163</v>
      </c>
      <c r="F121" s="6">
        <f t="shared" si="15"/>
        <v>2.9081295439524117</v>
      </c>
      <c r="G121" s="6">
        <f t="shared" si="12"/>
        <v>2.779532533164877</v>
      </c>
      <c r="H121" s="6">
        <f t="shared" si="16"/>
        <v>146.9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0.501748982734532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</f>
        <v>42.1</v>
      </c>
      <c r="E124" s="19">
        <f>D124/D103*100</f>
        <v>0.4293421173399145</v>
      </c>
      <c r="F124" s="6">
        <f t="shared" si="15"/>
        <v>49.70484061393152</v>
      </c>
      <c r="G124" s="6">
        <f t="shared" si="12"/>
        <v>49.70484061393152</v>
      </c>
      <c r="H124" s="6">
        <f t="shared" si="16"/>
        <v>42.6</v>
      </c>
      <c r="I124" s="6">
        <f t="shared" si="14"/>
        <v>42.6</v>
      </c>
    </row>
    <row r="125" spans="1:9" s="2" customFormat="1" ht="18.75">
      <c r="A125" s="17" t="s">
        <v>75</v>
      </c>
      <c r="B125" s="81">
        <v>150.2</v>
      </c>
      <c r="C125" s="60">
        <v>178.8</v>
      </c>
      <c r="D125" s="84">
        <f>7.2+1.4+9.3+6.8+7.7+4.3+1.8+6+21.8+13.1+2.5+17+2.4+20.7+0.2</f>
        <v>122.2</v>
      </c>
      <c r="E125" s="19">
        <f>D125/D103*100</f>
        <v>1.2462139367918659</v>
      </c>
      <c r="F125" s="6">
        <f t="shared" si="15"/>
        <v>81.35818908122504</v>
      </c>
      <c r="G125" s="6">
        <f t="shared" si="12"/>
        <v>68.34451901565996</v>
      </c>
      <c r="H125" s="6">
        <f t="shared" si="16"/>
        <v>27.999999999999986</v>
      </c>
      <c r="I125" s="6">
        <f t="shared" si="14"/>
        <v>56.60000000000001</v>
      </c>
    </row>
    <row r="126" spans="1:9" s="2" customFormat="1" ht="35.25" customHeight="1">
      <c r="A126" s="17" t="s">
        <v>74</v>
      </c>
      <c r="B126" s="81">
        <v>43.3</v>
      </c>
      <c r="C126" s="60">
        <v>67.6</v>
      </c>
      <c r="D126" s="84">
        <f>0.5+1.5+0.1+14.8</f>
        <v>16.900000000000002</v>
      </c>
      <c r="E126" s="19">
        <f>D126/D103*100</f>
        <v>0.1723487359393006</v>
      </c>
      <c r="F126" s="6">
        <f t="shared" si="15"/>
        <v>39.030023094688225</v>
      </c>
      <c r="G126" s="6">
        <f t="shared" si="12"/>
        <v>25.000000000000007</v>
      </c>
      <c r="H126" s="6">
        <f t="shared" si="16"/>
        <v>26.399999999999995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60</v>
      </c>
      <c r="C127" s="60">
        <v>60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60</v>
      </c>
      <c r="I127" s="6">
        <f t="shared" si="14"/>
        <v>60</v>
      </c>
    </row>
    <row r="128" spans="1:9" s="2" customFormat="1" ht="18.75">
      <c r="A128" s="17" t="s">
        <v>101</v>
      </c>
      <c r="B128" s="81">
        <v>45.4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45.4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655.1</v>
      </c>
      <c r="C129" s="60">
        <v>868.2</v>
      </c>
      <c r="D129" s="84">
        <f>21.4+1.2+34.6+22.6+3.4+31.2+5.1+22.6+3+44.8+0.2+32.7+27.3+30.6+3.7+29.7+4.3+33.6+0.1+0.1+6.3+25.5+0.4+38.4+0.1+0.3+0.6+29.7+0.1+36.6+5.6+24.5+3.6+36.9+0.1+40+14.7</f>
        <v>615.6000000000003</v>
      </c>
      <c r="E129" s="19">
        <f>D129/D103*100</f>
        <v>6.277981174215</v>
      </c>
      <c r="F129" s="6">
        <f t="shared" si="15"/>
        <v>93.97038620058011</v>
      </c>
      <c r="G129" s="6">
        <f t="shared" si="12"/>
        <v>70.90532135452663</v>
      </c>
      <c r="H129" s="6">
        <f t="shared" si="16"/>
        <v>39.49999999999977</v>
      </c>
      <c r="I129" s="6">
        <f t="shared" si="14"/>
        <v>252.5999999999998</v>
      </c>
    </row>
    <row r="130" spans="1:9" s="39" customFormat="1" ht="18">
      <c r="A130" s="40" t="s">
        <v>54</v>
      </c>
      <c r="B130" s="82">
        <v>566.1</v>
      </c>
      <c r="C130" s="51">
        <v>747.1</v>
      </c>
      <c r="D130" s="83">
        <f>21.4+1.2+34.6+22.6+31.2+22.6+44.8+0.2+32.7+30.6+29.7+33.6+24.3+38.4+29.7+36.6+5.6+24.5+36.9+39.8</f>
        <v>541</v>
      </c>
      <c r="E130" s="1">
        <f>D130/D129*100</f>
        <v>87.88174139051328</v>
      </c>
      <c r="F130" s="1">
        <f>D130/B130*100</f>
        <v>95.5661543896838</v>
      </c>
      <c r="G130" s="1">
        <f t="shared" si="12"/>
        <v>72.4133315486548</v>
      </c>
      <c r="H130" s="1">
        <f t="shared" si="16"/>
        <v>25.100000000000023</v>
      </c>
      <c r="I130" s="1">
        <f t="shared" si="14"/>
        <v>206.10000000000002</v>
      </c>
    </row>
    <row r="131" spans="1:9" s="39" customFormat="1" ht="18">
      <c r="A131" s="29" t="s">
        <v>33</v>
      </c>
      <c r="B131" s="82">
        <v>13.1</v>
      </c>
      <c r="C131" s="51">
        <f>27.4-3</f>
        <v>24.4</v>
      </c>
      <c r="D131" s="83">
        <f>3.4+3+2.7+1.6-0.1+0.1+0.1+0.1+0.1</f>
        <v>11</v>
      </c>
      <c r="E131" s="1">
        <f>D131/D129*100</f>
        <v>1.7868745938921369</v>
      </c>
      <c r="F131" s="1">
        <f>D131/B131*100</f>
        <v>83.96946564885496</v>
      </c>
      <c r="G131" s="1">
        <f>D131/C131*100</f>
        <v>45.08196721311475</v>
      </c>
      <c r="H131" s="1">
        <f t="shared" si="16"/>
        <v>2.0999999999999996</v>
      </c>
      <c r="I131" s="1">
        <f t="shared" si="14"/>
        <v>13.399999999999999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64.06477864915304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</f>
        <v>435.70000000000005</v>
      </c>
      <c r="E133" s="19">
        <f>D133/D103*100</f>
        <v>4.44333397921617</v>
      </c>
      <c r="F133" s="114">
        <f>D133/B133*100</f>
        <v>91.57208911307274</v>
      </c>
      <c r="G133" s="6">
        <f t="shared" si="12"/>
        <v>91.57208911307274</v>
      </c>
      <c r="H133" s="6">
        <f t="shared" si="16"/>
        <v>40.099999999999966</v>
      </c>
      <c r="I133" s="6">
        <f t="shared" si="14"/>
        <v>40.099999999999966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19362.1</v>
      </c>
      <c r="C136" s="85">
        <f>C41+C66+C69+C74+C76+C84+C98+C103+C96+C81+C94</f>
        <v>25028.5</v>
      </c>
      <c r="D136" s="60">
        <f>D41+D66+D69+D74+D76+D84+D98+D103+D96+D81+D94</f>
        <v>14469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496949.6</v>
      </c>
      <c r="C137" s="54">
        <f>C6+C17+C31+C41+C49+C56+C66+C69+C74+C76+C84+C87+C92+C98+C103+C96+C81+C94+C43</f>
        <v>624159.7000000001</v>
      </c>
      <c r="D137" s="54">
        <f>D6+D17+D31+D41+D49+D56+D66+D69+D74+D76+D84+D87+D92+D98+D103+D96+D81+D94+D43</f>
        <v>445869.0100000001</v>
      </c>
      <c r="E137" s="38">
        <v>100</v>
      </c>
      <c r="F137" s="3">
        <f>D137/B137*100</f>
        <v>89.7211729318225</v>
      </c>
      <c r="G137" s="3">
        <f aca="true" t="shared" si="17" ref="G137:G143">D137/C137*100</f>
        <v>71.4350846426003</v>
      </c>
      <c r="H137" s="3">
        <f aca="true" t="shared" si="18" ref="H137:H143">B137-D137</f>
        <v>51080.58999999985</v>
      </c>
      <c r="I137" s="3">
        <f aca="true" t="shared" si="19" ref="I137:I143">C137-D137</f>
        <v>178290.68999999994</v>
      </c>
      <c r="K137" s="46"/>
      <c r="L137" s="47"/>
    </row>
    <row r="138" spans="1:12" ht="18.75">
      <c r="A138" s="23" t="s">
        <v>5</v>
      </c>
      <c r="B138" s="67">
        <f>B7+B18+B32+B50+B57+B88+B111+B115+B44+B130</f>
        <v>357341.79999999993</v>
      </c>
      <c r="C138" s="67">
        <f>C7+C18+C32+C50+C57+C88+C111+C115+C44+C130</f>
        <v>430367.6</v>
      </c>
      <c r="D138" s="67">
        <f>D7+D18+D32+D50+D57+D88+D111+D115+D44+D130</f>
        <v>331151.1999999999</v>
      </c>
      <c r="E138" s="6">
        <f>D138/D137*100</f>
        <v>74.27096133010002</v>
      </c>
      <c r="F138" s="6">
        <f aca="true" t="shared" si="20" ref="F138:F149">D138/B138*100</f>
        <v>92.67071470508067</v>
      </c>
      <c r="G138" s="6">
        <f t="shared" si="17"/>
        <v>76.94612698539572</v>
      </c>
      <c r="H138" s="6">
        <f t="shared" si="18"/>
        <v>26190.600000000035</v>
      </c>
      <c r="I138" s="18">
        <f t="shared" si="19"/>
        <v>99216.40000000008</v>
      </c>
      <c r="K138" s="46"/>
      <c r="L138" s="47"/>
    </row>
    <row r="139" spans="1:12" ht="18.75">
      <c r="A139" s="23" t="s">
        <v>0</v>
      </c>
      <c r="B139" s="68">
        <f>B10+B21+B34+B53+B59+B89+B47+B131+B105+B108</f>
        <v>37849.799999999996</v>
      </c>
      <c r="C139" s="68">
        <f>C10+C21+C34+C53+C59+C89+C47+C131+C105+C108</f>
        <v>64582.7</v>
      </c>
      <c r="D139" s="68">
        <f>D10+D21+D34+D53+D59+D89+D47+D131+D105+D108</f>
        <v>35749.299999999996</v>
      </c>
      <c r="E139" s="6">
        <f>D139/D137*100</f>
        <v>8.017892968161206</v>
      </c>
      <c r="F139" s="6">
        <f t="shared" si="20"/>
        <v>94.45043302738719</v>
      </c>
      <c r="G139" s="6">
        <f t="shared" si="17"/>
        <v>55.35429766795132</v>
      </c>
      <c r="H139" s="6">
        <f t="shared" si="18"/>
        <v>2100.5</v>
      </c>
      <c r="I139" s="18">
        <f t="shared" si="19"/>
        <v>28833.4</v>
      </c>
      <c r="K139" s="46"/>
      <c r="L139" s="103"/>
    </row>
    <row r="140" spans="1:12" ht="18.75">
      <c r="A140" s="23" t="s">
        <v>1</v>
      </c>
      <c r="B140" s="67">
        <f>B20+B9+B52+B46+B58+B33+B99+B119</f>
        <v>14905.400000000001</v>
      </c>
      <c r="C140" s="67">
        <f>C20+C9+C52+C46+C58+C33+C99+C119</f>
        <v>20516.600000000002</v>
      </c>
      <c r="D140" s="67">
        <f>D20+D9+D52+D46+D58+D33+D99+D119</f>
        <v>13664.300000000003</v>
      </c>
      <c r="E140" s="6">
        <f>D140/D137*100</f>
        <v>3.064644479328132</v>
      </c>
      <c r="F140" s="6">
        <f t="shared" si="20"/>
        <v>91.67348746092021</v>
      </c>
      <c r="G140" s="6">
        <f t="shared" si="17"/>
        <v>66.6011912305158</v>
      </c>
      <c r="H140" s="6">
        <f t="shared" si="18"/>
        <v>1241.0999999999985</v>
      </c>
      <c r="I140" s="18">
        <f t="shared" si="19"/>
        <v>6852.299999999999</v>
      </c>
      <c r="K140" s="46"/>
      <c r="L140" s="47"/>
    </row>
    <row r="141" spans="1:12" ht="21" customHeight="1">
      <c r="A141" s="23" t="s">
        <v>15</v>
      </c>
      <c r="B141" s="67">
        <f>B11+B22+B100+B60+B36+B90</f>
        <v>6469.8</v>
      </c>
      <c r="C141" s="67">
        <f>C11+C22+C100+C60+C36+C90</f>
        <v>8110.4</v>
      </c>
      <c r="D141" s="67">
        <f>D11+D22+D100+D60+D36+D90</f>
        <v>5830.400000000001</v>
      </c>
      <c r="E141" s="6">
        <f>D141/D137*100</f>
        <v>1.307648629807216</v>
      </c>
      <c r="F141" s="6">
        <f t="shared" si="20"/>
        <v>90.11715972673035</v>
      </c>
      <c r="G141" s="6">
        <f t="shared" si="17"/>
        <v>71.8879463405011</v>
      </c>
      <c r="H141" s="6">
        <f t="shared" si="18"/>
        <v>639.3999999999996</v>
      </c>
      <c r="I141" s="18">
        <f t="shared" si="19"/>
        <v>2279.999999999999</v>
      </c>
      <c r="K141" s="46"/>
      <c r="L141" s="103"/>
    </row>
    <row r="142" spans="1:12" ht="18.75">
      <c r="A142" s="23" t="s">
        <v>2</v>
      </c>
      <c r="B142" s="67">
        <f>B8+B19+B45+B51+B118</f>
        <v>5939.8</v>
      </c>
      <c r="C142" s="67">
        <f>C8+C19+C45+C51+C118</f>
        <v>7943.900000000001</v>
      </c>
      <c r="D142" s="67">
        <f>D8+D19+D45+D51+D118</f>
        <v>3498.8999999999996</v>
      </c>
      <c r="E142" s="6">
        <f>D142/D137*100</f>
        <v>0.7847372034221438</v>
      </c>
      <c r="F142" s="6">
        <f t="shared" si="20"/>
        <v>58.90602377184416</v>
      </c>
      <c r="G142" s="6">
        <f t="shared" si="17"/>
        <v>44.04511637860496</v>
      </c>
      <c r="H142" s="6">
        <f t="shared" si="18"/>
        <v>2440.9000000000005</v>
      </c>
      <c r="I142" s="18">
        <f t="shared" si="19"/>
        <v>4445.000000000001</v>
      </c>
      <c r="K142" s="46"/>
      <c r="L142" s="47"/>
    </row>
    <row r="143" spans="1:12" ht="19.5" thickBot="1">
      <c r="A143" s="23" t="s">
        <v>35</v>
      </c>
      <c r="B143" s="67">
        <f>B137-B138-B139-B140-B141-B142</f>
        <v>74443.00000000006</v>
      </c>
      <c r="C143" s="67">
        <f>C137-C138-C139-C140-C141-C142</f>
        <v>92638.5000000001</v>
      </c>
      <c r="D143" s="67">
        <f>D137-D138-D139-D140-D141-D142</f>
        <v>55974.910000000236</v>
      </c>
      <c r="E143" s="6">
        <f>D143/D137*100</f>
        <v>12.55411538918128</v>
      </c>
      <c r="F143" s="6">
        <f t="shared" si="20"/>
        <v>75.19163655414235</v>
      </c>
      <c r="G143" s="43">
        <f t="shared" si="17"/>
        <v>60.42294510381772</v>
      </c>
      <c r="H143" s="6">
        <f t="shared" si="18"/>
        <v>18468.089999999822</v>
      </c>
      <c r="I143" s="6">
        <f t="shared" si="19"/>
        <v>36663.589999999866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v>60641.4</v>
      </c>
      <c r="C145" s="74">
        <f>77971.6-8326.2</f>
        <v>69645.40000000001</v>
      </c>
      <c r="D145" s="74">
        <f>1285.7+343.1+251.2+535+4+1250.9+3+47.1-1+182.9+10.6+2492.6+31+22.3+70.1+288.5+61.4+28+67+8.2+59.1+10.4+80.6+354.8+3.8+68.4+2.6+5.3+24.2+4809.3+1220.5</f>
        <v>13620.600000000002</v>
      </c>
      <c r="E145" s="15"/>
      <c r="F145" s="6">
        <f t="shared" si="20"/>
        <v>22.460893053260648</v>
      </c>
      <c r="G145" s="6">
        <f aca="true" t="shared" si="21" ref="G145:G154">D145/C145*100</f>
        <v>19.557070531578542</v>
      </c>
      <c r="H145" s="6">
        <f>B145-D145</f>
        <v>47020.8</v>
      </c>
      <c r="I145" s="6">
        <f aca="true" t="shared" si="22" ref="I145:I154">C145-D145</f>
        <v>56024.8</v>
      </c>
      <c r="J145" s="105"/>
      <c r="K145" s="46"/>
      <c r="L145" s="46"/>
    </row>
    <row r="146" spans="1:12" ht="18.75">
      <c r="A146" s="23" t="s">
        <v>22</v>
      </c>
      <c r="B146" s="89">
        <f>22855.7-553</f>
        <v>22302.7</v>
      </c>
      <c r="C146" s="67">
        <f>23644.2-130+4631.1</f>
        <v>28145.300000000003</v>
      </c>
      <c r="D146" s="67">
        <f>2921.3+155.4+1707.9+56.8+14.6+990.8-990.8+14.7+990.8+400.1+597.2+8.8-9.6+18.2+0.4+53.9+92.1+242.6+11.1+67.1</f>
        <v>7343.4000000000015</v>
      </c>
      <c r="E146" s="6"/>
      <c r="F146" s="6">
        <f t="shared" si="20"/>
        <v>32.926058279939205</v>
      </c>
      <c r="G146" s="6">
        <f t="shared" si="21"/>
        <v>26.091034737593844</v>
      </c>
      <c r="H146" s="6">
        <f aca="true" t="shared" si="23" ref="H146:H153">B146-D146</f>
        <v>14959.3</v>
      </c>
      <c r="I146" s="6">
        <f t="shared" si="22"/>
        <v>20801.9</v>
      </c>
      <c r="K146" s="46"/>
      <c r="L146" s="46"/>
    </row>
    <row r="147" spans="1:12" ht="18.75">
      <c r="A147" s="23" t="s">
        <v>63</v>
      </c>
      <c r="B147" s="89">
        <f>75951.1+1677.5</f>
        <v>77628.6</v>
      </c>
      <c r="C147" s="67">
        <f>109130.7-6200+130-3633.3+1677.5</f>
        <v>101104.9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</f>
        <v>18859.200000000004</v>
      </c>
      <c r="E147" s="6"/>
      <c r="F147" s="6">
        <f t="shared" si="20"/>
        <v>24.29413901577512</v>
      </c>
      <c r="G147" s="6">
        <f t="shared" si="21"/>
        <v>18.653101877357088</v>
      </c>
      <c r="H147" s="6">
        <f t="shared" si="23"/>
        <v>58769.4</v>
      </c>
      <c r="I147" s="6">
        <f t="shared" si="22"/>
        <v>82245.69999999998</v>
      </c>
      <c r="K147" s="46"/>
      <c r="L147" s="46"/>
    </row>
    <row r="148" spans="1:12" ht="37.5">
      <c r="A148" s="23" t="s">
        <v>72</v>
      </c>
      <c r="B148" s="89">
        <f>7725.4+553-1678.4</f>
        <v>6600</v>
      </c>
      <c r="C148" s="67">
        <f>6200+2078.4-1678.4</f>
        <v>6600</v>
      </c>
      <c r="D148" s="67">
        <f>5500+500</f>
        <v>6000</v>
      </c>
      <c r="E148" s="6"/>
      <c r="F148" s="6">
        <f t="shared" si="20"/>
        <v>90.9090909090909</v>
      </c>
      <c r="G148" s="6">
        <f t="shared" si="21"/>
        <v>90.9090909090909</v>
      </c>
      <c r="H148" s="6">
        <f t="shared" si="23"/>
        <v>600</v>
      </c>
      <c r="I148" s="6">
        <f t="shared" si="22"/>
        <v>600</v>
      </c>
      <c r="K148" s="46"/>
      <c r="L148" s="46"/>
    </row>
    <row r="149" spans="1:12" ht="18.75">
      <c r="A149" s="23" t="s">
        <v>13</v>
      </c>
      <c r="B149" s="89">
        <v>15579.5</v>
      </c>
      <c r="C149" s="67">
        <f>8750.7+10716.7</f>
        <v>19467.4</v>
      </c>
      <c r="D149" s="67">
        <f>1079.6+99+23+18.9+98+142.5+46.8+99.4+162.7+67+248.3+33.5+121.9+230+22.3+285.4+115.2+35.8+49.4+183.7+191.3+33.3+185.2+84+58.5+292+106.6</f>
        <v>4113.300000000001</v>
      </c>
      <c r="E149" s="19"/>
      <c r="F149" s="6">
        <f t="shared" si="20"/>
        <v>26.402002631663414</v>
      </c>
      <c r="G149" s="6">
        <f t="shared" si="21"/>
        <v>21.129169791548954</v>
      </c>
      <c r="H149" s="6">
        <f t="shared" si="23"/>
        <v>11466.199999999999</v>
      </c>
      <c r="I149" s="6">
        <f t="shared" si="22"/>
        <v>15354.1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968.7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89.25363889749148</v>
      </c>
      <c r="G151" s="6">
        <f t="shared" si="21"/>
        <v>75.10423905489924</v>
      </c>
      <c r="H151" s="6">
        <f t="shared" si="23"/>
        <v>104.10000000000002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</f>
        <v>1598.3</v>
      </c>
      <c r="E152" s="19"/>
      <c r="F152" s="6">
        <f>D152/B152*100</f>
        <v>82.14524335714653</v>
      </c>
      <c r="G152" s="6">
        <f t="shared" si="21"/>
        <v>82.14524335714653</v>
      </c>
      <c r="H152" s="6">
        <f t="shared" si="23"/>
        <v>347.4000000000001</v>
      </c>
      <c r="I152" s="6">
        <f t="shared" si="22"/>
        <v>347.4000000000001</v>
      </c>
    </row>
    <row r="153" spans="1:9" ht="19.5" thickBot="1">
      <c r="A153" s="23" t="s">
        <v>64</v>
      </c>
      <c r="B153" s="89">
        <v>7806.8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</f>
        <v>1788.2</v>
      </c>
      <c r="E153" s="24"/>
      <c r="F153" s="6">
        <f>D153/B153*100</f>
        <v>22.90567197827535</v>
      </c>
      <c r="G153" s="6">
        <f t="shared" si="21"/>
        <v>20.168503208779313</v>
      </c>
      <c r="H153" s="6">
        <f t="shared" si="23"/>
        <v>6018.6</v>
      </c>
      <c r="I153" s="6">
        <f t="shared" si="22"/>
        <v>7078.099999999999</v>
      </c>
    </row>
    <row r="154" spans="1:9" ht="19.5" thickBot="1">
      <c r="A154" s="14" t="s">
        <v>20</v>
      </c>
      <c r="B154" s="91">
        <f>B137+B145+B149+B150+B146+B153+B152+B147+B151+B148</f>
        <v>690422.9999999999</v>
      </c>
      <c r="C154" s="91">
        <f>C137+C145+C149+C150+C146+C153+C152+C147+C151+C148</f>
        <v>861085.9000000001</v>
      </c>
      <c r="D154" s="91">
        <f>D137+D145+D149+D150+D146+D153+D152+D147+D151+D148</f>
        <v>500056.6100000001</v>
      </c>
      <c r="E154" s="25"/>
      <c r="F154" s="3">
        <f>D154/B154*100</f>
        <v>72.42757121358937</v>
      </c>
      <c r="G154" s="3">
        <f t="shared" si="21"/>
        <v>58.07279041498647</v>
      </c>
      <c r="H154" s="3">
        <f>B154-D154</f>
        <v>190366.38999999978</v>
      </c>
      <c r="I154" s="3">
        <f t="shared" si="22"/>
        <v>361029.29000000004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8" sqref="R28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445869.0100000001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0" sqref="P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2" sqref="S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7" sqref="Q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P30" sqref="P3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445869.0100000001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2014-08-29T10:35:36Z</cp:lastPrinted>
  <dcterms:created xsi:type="dcterms:W3CDTF">2000-06-20T04:48:00Z</dcterms:created>
  <dcterms:modified xsi:type="dcterms:W3CDTF">2014-09-24T05:02:44Z</dcterms:modified>
  <cp:category/>
  <cp:version/>
  <cp:contentType/>
  <cp:contentStatus/>
</cp:coreProperties>
</file>